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7235" windowHeight="11385" activeTab="0"/>
  </bookViews>
  <sheets>
    <sheet name="АЭСб" sheetId="1" r:id="rId1"/>
  </sheets>
  <definedNames/>
  <calcPr fullCalcOnLoad="1"/>
</workbook>
</file>

<file path=xl/sharedStrings.xml><?xml version="1.0" encoding="utf-8"?>
<sst xmlns="http://schemas.openxmlformats.org/spreadsheetml/2006/main" count="131" uniqueCount="130">
  <si>
    <t xml:space="preserve">N  п/п </t>
  </si>
  <si>
    <t>Наименование показателя</t>
  </si>
  <si>
    <t xml:space="preserve"> 2013
утверждено</t>
  </si>
  <si>
    <t>Предложение предприятия на 2014 год</t>
  </si>
  <si>
    <t>Расходы на реализацию, относимые на услуги гарантирующего поставщика, уменьшающие налогооблагаемую базу по налогу на прибыль</t>
  </si>
  <si>
    <t xml:space="preserve">Материальные расходы   из них:        </t>
  </si>
  <si>
    <t xml:space="preserve">1.1.  </t>
  </si>
  <si>
    <t xml:space="preserve">1.2.  </t>
  </si>
  <si>
    <t xml:space="preserve">Электро, тепло- и водоснабжение           </t>
  </si>
  <si>
    <t xml:space="preserve">1.3.  </t>
  </si>
  <si>
    <t xml:space="preserve">Топливо и горюче-смазочные  материалы                         </t>
  </si>
  <si>
    <t xml:space="preserve">Амортизационные отчисления        </t>
  </si>
  <si>
    <t xml:space="preserve">Расходы на оплату труда           </t>
  </si>
  <si>
    <t xml:space="preserve">3.1.  </t>
  </si>
  <si>
    <t xml:space="preserve">Оплата труда                      </t>
  </si>
  <si>
    <t xml:space="preserve">3.2.*  </t>
  </si>
  <si>
    <t xml:space="preserve">Прочие расходы                    </t>
  </si>
  <si>
    <t xml:space="preserve">4.1.  </t>
  </si>
  <si>
    <t xml:space="preserve">Ремонт основных средств           </t>
  </si>
  <si>
    <t xml:space="preserve">4.2.  </t>
  </si>
  <si>
    <t xml:space="preserve">Оплата работ и услуг сторонних    организаций          </t>
  </si>
  <si>
    <t xml:space="preserve">из них:                           </t>
  </si>
  <si>
    <t>4.2.1.</t>
  </si>
  <si>
    <t xml:space="preserve">- услуги связи                    </t>
  </si>
  <si>
    <t>4.2.2.</t>
  </si>
  <si>
    <t xml:space="preserve">- услуги вневедомственной охраны и коммунального хозяйства           </t>
  </si>
  <si>
    <t>4.2.3.</t>
  </si>
  <si>
    <t>- юридические и информационные  услуги</t>
  </si>
  <si>
    <t>4.2.4.</t>
  </si>
  <si>
    <t xml:space="preserve">-аудиторские и консультационные  услуги   </t>
  </si>
  <si>
    <t xml:space="preserve">4.3.*  </t>
  </si>
  <si>
    <t xml:space="preserve">Расходы на командировки и    представительские расходы, включая оформление виз и уплату сборов              </t>
  </si>
  <si>
    <t xml:space="preserve">4.4.*  </t>
  </si>
  <si>
    <t xml:space="preserve">Арендная плата                    </t>
  </si>
  <si>
    <t xml:space="preserve">4.5.*  </t>
  </si>
  <si>
    <t xml:space="preserve">Расходы на подготовку кадров      </t>
  </si>
  <si>
    <t xml:space="preserve">4.6.* </t>
  </si>
  <si>
    <t xml:space="preserve">Расходы на обеспечение безопасных  условий и охраны труда  </t>
  </si>
  <si>
    <t>4.7.</t>
  </si>
  <si>
    <t>Расходы на страхование,  имущества</t>
  </si>
  <si>
    <t xml:space="preserve">4.8.*  </t>
  </si>
  <si>
    <t>Расходы на обеспечение соблюдения стандартов по качеству обслуживания потребителей (покупателей)</t>
  </si>
  <si>
    <t>из них:</t>
  </si>
  <si>
    <t>4.8.1.</t>
  </si>
  <si>
    <t>- ведение баз данных потребителей, а также иные расходы, связанные с выполнением требований законодательства Российской Федерации о защите персональных данных</t>
  </si>
  <si>
    <t>4.8.2.</t>
  </si>
  <si>
    <t>- обеспечение различных способов внесения платы, в том числе без оплаты комиссии потребителем</t>
  </si>
  <si>
    <t>4.9*</t>
  </si>
  <si>
    <t>в том числе:</t>
  </si>
  <si>
    <t>4.9.1.</t>
  </si>
  <si>
    <t xml:space="preserve">Налоги и сборы                    </t>
  </si>
  <si>
    <t>4.9.1.1.</t>
  </si>
  <si>
    <t xml:space="preserve">- земельный налог </t>
  </si>
  <si>
    <t>4.9.1.2.</t>
  </si>
  <si>
    <t>- налог на имущество организаций</t>
  </si>
  <si>
    <t>4.9.1.3.</t>
  </si>
  <si>
    <t>- транспортный налог</t>
  </si>
  <si>
    <t>4.9.1.4.</t>
  </si>
  <si>
    <t xml:space="preserve">Итого расходы, связанные с  реализацией  </t>
  </si>
  <si>
    <t>Внереализационные расходы, относимые на услуги гарантирующего поставщика, уменьшающие налогооблагаемую базу  по налогу  на прибыль</t>
  </si>
  <si>
    <t>Проценты по долговым обязательствам</t>
  </si>
  <si>
    <t xml:space="preserve">Убытки прошлых лет                 </t>
  </si>
  <si>
    <t>Проценты по обслуживанию кредитов</t>
  </si>
  <si>
    <t>3.1.</t>
  </si>
  <si>
    <t xml:space="preserve"> -  обслуживание кредитов, необходимых для поддержания достаточного размера оборотного капитала при просрочке платежей со стороны потребителей (покупателей)</t>
  </si>
  <si>
    <t>3.2.</t>
  </si>
  <si>
    <t xml:space="preserve"> - обслуживание заемных средств, необходимых для организации принятия гарантирующим поставщиком на обслуживание потребителей (покупателей) с применением особого порядка и совершением иных действий, подлежащих исполнению в соответствии с Основными положениями</t>
  </si>
  <si>
    <t>3.3.</t>
  </si>
  <si>
    <t xml:space="preserve"> -  обслуживание кредитов, привлекаемых для целей обеспечения стандартов качества обслуживания</t>
  </si>
  <si>
    <t>Расходы гарантирующего поставщика, связанные с организацией принятия им на обслуживание потребителей (покупателей) с применением особого порядка и совершением иных действий, подлежащих исполнению в соответствии с Основными положениями</t>
  </si>
  <si>
    <t>Резерв по сомнительным долгам</t>
  </si>
  <si>
    <t>Другие внереализационные расходы *</t>
  </si>
  <si>
    <t>ИТОГО внереализационных расходов</t>
  </si>
  <si>
    <t>Необходимая балансовая прибыль</t>
  </si>
  <si>
    <t xml:space="preserve">Налоги и платежи за счет прибыли   </t>
  </si>
  <si>
    <t xml:space="preserve">из них:                            </t>
  </si>
  <si>
    <t>1.1.</t>
  </si>
  <si>
    <t xml:space="preserve">- налог на прибыль                 </t>
  </si>
  <si>
    <t>1.2.</t>
  </si>
  <si>
    <t>-прочие налоги и иные обязательные платежи и сборы</t>
  </si>
  <si>
    <t xml:space="preserve">Прибыль на нужды организации       </t>
  </si>
  <si>
    <t xml:space="preserve">2.1. </t>
  </si>
  <si>
    <t xml:space="preserve">Расходы на развитие производства   </t>
  </si>
  <si>
    <t xml:space="preserve">из них:                       </t>
  </si>
  <si>
    <t>2.1.1.</t>
  </si>
  <si>
    <t xml:space="preserve">- капитальные вложения             </t>
  </si>
  <si>
    <t xml:space="preserve">2.2. </t>
  </si>
  <si>
    <t xml:space="preserve">Расходы на социальные нужды        </t>
  </si>
  <si>
    <t xml:space="preserve">2.3. </t>
  </si>
  <si>
    <t xml:space="preserve">Необходимая балансовая прибыль                  </t>
  </si>
  <si>
    <t>ИТОГО НВВ</t>
  </si>
  <si>
    <t xml:space="preserve">Отчисления на страховые вносы **    </t>
  </si>
  <si>
    <t>почта</t>
  </si>
  <si>
    <t xml:space="preserve">Прибыль на прочие цели             </t>
  </si>
  <si>
    <t xml:space="preserve">Необходимая валовая выручка </t>
  </si>
  <si>
    <t>ООО "Алексинэнергосбыт"</t>
  </si>
  <si>
    <t>Материалы - канцтовары</t>
  </si>
  <si>
    <t>канцтовары,катриджи</t>
  </si>
  <si>
    <t>ОС до 40т.</t>
  </si>
  <si>
    <t>ТГК-4</t>
  </si>
  <si>
    <t>ведение баз данных</t>
  </si>
  <si>
    <t>обслуживание Оргтехники и Програмного обеспечения</t>
  </si>
  <si>
    <t>сбор платежей</t>
  </si>
  <si>
    <t>крис</t>
  </si>
  <si>
    <t>разноска квитанций</t>
  </si>
  <si>
    <t>Взносы в совет рынка+налоги</t>
  </si>
  <si>
    <t>рко+инкассация</t>
  </si>
  <si>
    <t>факт по 1 кварталу</t>
  </si>
  <si>
    <t>декларации</t>
  </si>
  <si>
    <t>тгк-4 отказались от услуг</t>
  </si>
  <si>
    <t>медосмотр 1500 на 1 чел</t>
  </si>
  <si>
    <t>атс</t>
  </si>
  <si>
    <t>983,0 экспрессбанк</t>
  </si>
  <si>
    <t>лизинг автомобиль  и тургенева</t>
  </si>
  <si>
    <t>1501,00 ожид.</t>
  </si>
  <si>
    <t>ож 365</t>
  </si>
  <si>
    <t>340 ожид.</t>
  </si>
  <si>
    <t>350 ожид</t>
  </si>
  <si>
    <t>50 ож</t>
  </si>
  <si>
    <t>Расходы, связанные с выполнением иных обязательных требований в соответствии с законодательством Российской Федерации (взносы в Совет рынка, услуги оптового рынка, НП АТС)</t>
  </si>
  <si>
    <t>469,84 ожид</t>
  </si>
  <si>
    <t>плюс 9 чел 2 факт и 7 план контролеров</t>
  </si>
  <si>
    <t>с учетом роста численности</t>
  </si>
  <si>
    <t>предложение экспертной группы на 2015</t>
  </si>
  <si>
    <t>2014 утверждено</t>
  </si>
  <si>
    <t>средняя 33546,47</t>
  </si>
  <si>
    <t>2014-31440</t>
  </si>
  <si>
    <t>факт 2014</t>
  </si>
  <si>
    <t xml:space="preserve">-прочие ( членские взносы, услуги оптового рынка, НП АТС)            </t>
  </si>
  <si>
    <t>предложение предприятия на 2016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</si>
</sst>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5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5"/>
      <color theme="1"/>
      <name val="Calibri"/>
      <family val="2"/>
    </font>
    <font>
      <b/>
      <sz val="15"/>
      <color theme="1"/>
      <name val="Times New Roman"/>
      <family val="1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Fill="1" applyAlignment="1">
      <alignment/>
    </xf>
    <xf numFmtId="4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42" fillId="0" borderId="10" xfId="0" applyNumberFormat="1" applyFont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vertical="center" wrapText="1"/>
    </xf>
    <xf numFmtId="4" fontId="42" fillId="33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right" vertical="center" wrapText="1"/>
    </xf>
    <xf numFmtId="0" fontId="44" fillId="0" borderId="10" xfId="0" applyFont="1" applyBorder="1" applyAlignment="1">
      <alignment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0" fontId="42" fillId="0" borderId="10" xfId="0" applyFont="1" applyFill="1" applyBorder="1" applyAlignment="1">
      <alignment horizontal="right" vertical="center" wrapText="1"/>
    </xf>
    <xf numFmtId="0" fontId="44" fillId="0" borderId="10" xfId="0" applyFont="1" applyFill="1" applyBorder="1" applyAlignment="1">
      <alignment vertical="center" wrapText="1"/>
    </xf>
    <xf numFmtId="49" fontId="44" fillId="0" borderId="10" xfId="0" applyNumberFormat="1" applyFont="1" applyBorder="1" applyAlignment="1">
      <alignment vertical="center" wrapText="1"/>
    </xf>
    <xf numFmtId="0" fontId="45" fillId="33" borderId="10" xfId="0" applyFont="1" applyFill="1" applyBorder="1" applyAlignment="1">
      <alignment horizontal="right" vertical="center" wrapText="1"/>
    </xf>
    <xf numFmtId="0" fontId="46" fillId="33" borderId="10" xfId="0" applyFont="1" applyFill="1" applyBorder="1" applyAlignment="1">
      <alignment vertical="center" wrapText="1"/>
    </xf>
    <xf numFmtId="4" fontId="45" fillId="33" borderId="10" xfId="0" applyNumberFormat="1" applyFon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right"/>
    </xf>
    <xf numFmtId="0" fontId="43" fillId="34" borderId="10" xfId="0" applyFont="1" applyFill="1" applyBorder="1" applyAlignment="1">
      <alignment vertical="center" wrapText="1"/>
    </xf>
    <xf numFmtId="4" fontId="0" fillId="34" borderId="10" xfId="0" applyNumberFormat="1" applyFill="1" applyBorder="1" applyAlignment="1">
      <alignment/>
    </xf>
    <xf numFmtId="0" fontId="42" fillId="0" borderId="10" xfId="0" applyFont="1" applyBorder="1" applyAlignment="1">
      <alignment vertical="center" wrapText="1"/>
    </xf>
    <xf numFmtId="0" fontId="45" fillId="34" borderId="10" xfId="0" applyFont="1" applyFill="1" applyBorder="1" applyAlignment="1">
      <alignment horizontal="right" vertical="center" wrapText="1"/>
    </xf>
    <xf numFmtId="0" fontId="45" fillId="34" borderId="10" xfId="0" applyFont="1" applyFill="1" applyBorder="1" applyAlignment="1">
      <alignment vertical="center" wrapText="1"/>
    </xf>
    <xf numFmtId="4" fontId="45" fillId="34" borderId="10" xfId="0" applyNumberFormat="1" applyFont="1" applyFill="1" applyBorder="1" applyAlignment="1">
      <alignment horizontal="right" vertical="center" wrapText="1"/>
    </xf>
    <xf numFmtId="0" fontId="45" fillId="11" borderId="10" xfId="0" applyFont="1" applyFill="1" applyBorder="1" applyAlignment="1">
      <alignment horizontal="right" vertical="center" wrapText="1"/>
    </xf>
    <xf numFmtId="0" fontId="45" fillId="11" borderId="10" xfId="0" applyFont="1" applyFill="1" applyBorder="1" applyAlignment="1">
      <alignment vertical="center" wrapText="1"/>
    </xf>
    <xf numFmtId="4" fontId="45" fillId="11" borderId="10" xfId="0" applyNumberFormat="1" applyFont="1" applyFill="1" applyBorder="1" applyAlignment="1">
      <alignment horizontal="right" vertical="center" wrapText="1"/>
    </xf>
    <xf numFmtId="4" fontId="33" fillId="11" borderId="10" xfId="0" applyNumberFormat="1" applyFont="1" applyFill="1" applyBorder="1" applyAlignment="1">
      <alignment/>
    </xf>
    <xf numFmtId="49" fontId="42" fillId="0" borderId="10" xfId="0" applyNumberFormat="1" applyFont="1" applyBorder="1" applyAlignment="1">
      <alignment vertical="center" wrapText="1"/>
    </xf>
    <xf numFmtId="0" fontId="47" fillId="9" borderId="10" xfId="0" applyFont="1" applyFill="1" applyBorder="1" applyAlignment="1">
      <alignment/>
    </xf>
    <xf numFmtId="0" fontId="48" fillId="9" borderId="10" xfId="0" applyFont="1" applyFill="1" applyBorder="1" applyAlignment="1">
      <alignment vertical="center" wrapText="1"/>
    </xf>
    <xf numFmtId="4" fontId="47" fillId="9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42" fillId="0" borderId="12" xfId="0" applyFont="1" applyBorder="1" applyAlignment="1">
      <alignment horizontal="center" vertical="center" wrapText="1"/>
    </xf>
    <xf numFmtId="4" fontId="42" fillId="0" borderId="12" xfId="0" applyNumberFormat="1" applyFont="1" applyBorder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/>
    </xf>
    <xf numFmtId="0" fontId="45" fillId="0" borderId="10" xfId="0" applyFont="1" applyBorder="1" applyAlignment="1">
      <alignment horizontal="right" vertical="center" wrapText="1"/>
    </xf>
    <xf numFmtId="0" fontId="46" fillId="0" borderId="10" xfId="0" applyFont="1" applyBorder="1" applyAlignment="1">
      <alignment vertical="center" wrapText="1"/>
    </xf>
    <xf numFmtId="4" fontId="45" fillId="0" borderId="1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49" fillId="0" borderId="0" xfId="0" applyFont="1" applyBorder="1" applyAlignment="1">
      <alignment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vertical="center" wrapText="1"/>
    </xf>
    <xf numFmtId="4" fontId="0" fillId="0" borderId="10" xfId="0" applyNumberFormat="1" applyFill="1" applyBorder="1" applyAlignment="1">
      <alignment/>
    </xf>
    <xf numFmtId="0" fontId="0" fillId="0" borderId="0" xfId="0" applyFill="1" applyAlignment="1">
      <alignment wrapText="1"/>
    </xf>
    <xf numFmtId="4" fontId="45" fillId="33" borderId="13" xfId="0" applyNumberFormat="1" applyFont="1" applyFill="1" applyBorder="1" applyAlignment="1">
      <alignment horizontal="right" vertical="center" wrapText="1"/>
    </xf>
    <xf numFmtId="4" fontId="42" fillId="0" borderId="10" xfId="0" applyNumberFormat="1" applyFont="1" applyFill="1" applyBorder="1" applyAlignment="1">
      <alignment horizontal="right" vertical="center" wrapText="1"/>
    </xf>
    <xf numFmtId="10" fontId="0" fillId="0" borderId="0" xfId="0" applyNumberFormat="1" applyAlignment="1">
      <alignment/>
    </xf>
    <xf numFmtId="0" fontId="40" fillId="0" borderId="0" xfId="0" applyFont="1" applyAlignment="1">
      <alignment wrapText="1"/>
    </xf>
    <xf numFmtId="2" fontId="42" fillId="0" borderId="10" xfId="0" applyNumberFormat="1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50" fillId="0" borderId="10" xfId="0" applyFont="1" applyBorder="1" applyAlignment="1">
      <alignment horizontal="center" vertical="center"/>
    </xf>
    <xf numFmtId="4" fontId="45" fillId="0" borderId="12" xfId="0" applyNumberFormat="1" applyFont="1" applyFill="1" applyBorder="1" applyAlignment="1">
      <alignment horizontal="center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/>
    </xf>
    <xf numFmtId="0" fontId="33" fillId="0" borderId="0" xfId="0" applyFont="1" applyAlignment="1">
      <alignment wrapText="1"/>
    </xf>
    <xf numFmtId="0" fontId="33" fillId="0" borderId="10" xfId="0" applyFont="1" applyBorder="1" applyAlignment="1">
      <alignment wrapText="1"/>
    </xf>
    <xf numFmtId="4" fontId="45" fillId="6" borderId="10" xfId="0" applyNumberFormat="1" applyFont="1" applyFill="1" applyBorder="1" applyAlignment="1">
      <alignment horizontal="right" vertical="center" wrapText="1"/>
    </xf>
    <xf numFmtId="0" fontId="50" fillId="6" borderId="10" xfId="0" applyFont="1" applyFill="1" applyBorder="1" applyAlignment="1">
      <alignment horizontal="center" vertical="center"/>
    </xf>
    <xf numFmtId="4" fontId="42" fillId="35" borderId="10" xfId="0" applyNumberFormat="1" applyFont="1" applyFill="1" applyBorder="1" applyAlignment="1">
      <alignment horizontal="right" vertical="center" wrapText="1"/>
    </xf>
    <xf numFmtId="0" fontId="50" fillId="35" borderId="10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P67"/>
  <sheetViews>
    <sheetView tabSelected="1" zoomScalePageLayoutView="0" workbookViewId="0" topLeftCell="C1">
      <selection activeCell="S41" sqref="S41"/>
    </sheetView>
  </sheetViews>
  <sheetFormatPr defaultColWidth="9.140625" defaultRowHeight="15"/>
  <cols>
    <col min="2" max="2" width="7.8515625" style="0" bestFit="1" customWidth="1"/>
    <col min="3" max="3" width="75.00390625" style="0" customWidth="1"/>
    <col min="4" max="5" width="15.7109375" style="3" hidden="1" customWidth="1"/>
    <col min="6" max="8" width="15.7109375" style="3" customWidth="1"/>
    <col min="9" max="9" width="11.7109375" style="0" hidden="1" customWidth="1"/>
    <col min="10" max="10" width="16.421875" style="34" hidden="1" customWidth="1"/>
    <col min="11" max="11" width="22.28125" style="34" hidden="1" customWidth="1"/>
    <col min="12" max="12" width="6.7109375" style="34" hidden="1" customWidth="1"/>
    <col min="13" max="13" width="14.8515625" style="34" hidden="1" customWidth="1"/>
    <col min="14" max="14" width="14.8515625" style="0" hidden="1" customWidth="1"/>
    <col min="15" max="15" width="0" style="0" hidden="1" customWidth="1"/>
    <col min="16" max="16" width="14.421875" style="0" customWidth="1"/>
  </cols>
  <sheetData>
    <row r="2" spans="2:13" ht="19.5" customHeight="1">
      <c r="B2" s="66" t="s">
        <v>94</v>
      </c>
      <c r="C2" s="66"/>
      <c r="D2" s="66"/>
      <c r="E2" s="66"/>
      <c r="F2" s="66"/>
      <c r="G2" s="66"/>
      <c r="H2" s="66"/>
      <c r="L2"/>
      <c r="M2"/>
    </row>
    <row r="3" spans="2:13" ht="19.5" customHeight="1">
      <c r="B3" s="67" t="s">
        <v>95</v>
      </c>
      <c r="C3" s="67"/>
      <c r="D3" s="67"/>
      <c r="E3" s="67"/>
      <c r="F3" s="67"/>
      <c r="G3" s="67"/>
      <c r="H3" s="67"/>
      <c r="L3"/>
      <c r="M3"/>
    </row>
    <row r="4" spans="2:16" ht="63">
      <c r="B4" s="35" t="s">
        <v>0</v>
      </c>
      <c r="C4" s="35" t="s">
        <v>1</v>
      </c>
      <c r="D4" s="36" t="s">
        <v>2</v>
      </c>
      <c r="E4" s="37" t="s">
        <v>3</v>
      </c>
      <c r="F4" s="57" t="s">
        <v>124</v>
      </c>
      <c r="G4" s="58" t="s">
        <v>127</v>
      </c>
      <c r="H4" s="58" t="s">
        <v>123</v>
      </c>
      <c r="I4" s="59"/>
      <c r="J4" s="60" t="s">
        <v>126</v>
      </c>
      <c r="K4" s="60" t="s">
        <v>125</v>
      </c>
      <c r="L4" s="59"/>
      <c r="M4" s="59"/>
      <c r="N4" s="59"/>
      <c r="O4" s="59"/>
      <c r="P4" s="61" t="s">
        <v>129</v>
      </c>
    </row>
    <row r="5" spans="2:16" ht="42.75">
      <c r="B5" s="7"/>
      <c r="C5" s="8" t="s">
        <v>4</v>
      </c>
      <c r="D5" s="9">
        <v>0.0005333333333333334</v>
      </c>
      <c r="E5" s="38"/>
      <c r="F5" s="38">
        <v>16</v>
      </c>
      <c r="G5" s="38">
        <v>18</v>
      </c>
      <c r="H5" s="38">
        <v>25</v>
      </c>
      <c r="I5" s="38">
        <v>25</v>
      </c>
      <c r="J5" s="38">
        <v>25</v>
      </c>
      <c r="K5" s="38">
        <v>25</v>
      </c>
      <c r="L5" s="38">
        <v>25</v>
      </c>
      <c r="M5" s="38">
        <v>25</v>
      </c>
      <c r="N5" s="38">
        <v>25</v>
      </c>
      <c r="O5" s="38">
        <v>25</v>
      </c>
      <c r="P5" s="38">
        <v>25</v>
      </c>
    </row>
    <row r="6" spans="2:16" s="1" customFormat="1" ht="15.75">
      <c r="B6" s="45"/>
      <c r="C6" s="46"/>
      <c r="D6" s="6"/>
      <c r="E6" s="47"/>
      <c r="F6" s="47"/>
      <c r="G6" s="47"/>
      <c r="H6" s="47"/>
      <c r="J6" s="48"/>
      <c r="K6" s="48"/>
      <c r="P6" s="55"/>
    </row>
    <row r="7" spans="2:16" ht="15.75">
      <c r="B7" s="39">
        <v>1</v>
      </c>
      <c r="C7" s="40" t="s">
        <v>5</v>
      </c>
      <c r="D7" s="41">
        <f>D8+D9+D10</f>
        <v>1585</v>
      </c>
      <c r="E7" s="41">
        <f aca="true" t="shared" si="0" ref="E7:O7">E8+E9+E10</f>
        <v>1825</v>
      </c>
      <c r="F7" s="41">
        <f t="shared" si="0"/>
        <v>1661.08</v>
      </c>
      <c r="G7" s="41">
        <f t="shared" si="0"/>
        <v>1782.56</v>
      </c>
      <c r="H7" s="41">
        <f t="shared" si="0"/>
        <v>2041.2261600000002</v>
      </c>
      <c r="I7" s="41" t="e">
        <f t="shared" si="0"/>
        <v>#VALUE!</v>
      </c>
      <c r="J7" s="41" t="e">
        <f t="shared" si="0"/>
        <v>#VALUE!</v>
      </c>
      <c r="K7" s="41" t="e">
        <f t="shared" si="0"/>
        <v>#VALUE!</v>
      </c>
      <c r="L7" s="41">
        <f t="shared" si="0"/>
        <v>0</v>
      </c>
      <c r="M7" s="41">
        <f t="shared" si="0"/>
        <v>0</v>
      </c>
      <c r="N7" s="41">
        <f t="shared" si="0"/>
        <v>0</v>
      </c>
      <c r="O7" s="41">
        <f t="shared" si="0"/>
        <v>0</v>
      </c>
      <c r="P7" s="62">
        <f>P8+P9+P10</f>
        <v>2768.31</v>
      </c>
    </row>
    <row r="8" spans="2:16" ht="30">
      <c r="B8" s="10" t="s">
        <v>6</v>
      </c>
      <c r="C8" s="11" t="s">
        <v>96</v>
      </c>
      <c r="D8" s="12">
        <f>825+200</f>
        <v>1025</v>
      </c>
      <c r="E8" s="12">
        <f>950+230</f>
        <v>1180</v>
      </c>
      <c r="F8" s="12">
        <f>D8*1.048</f>
        <v>1074.2</v>
      </c>
      <c r="G8" s="12">
        <v>1053.8</v>
      </c>
      <c r="H8" s="12">
        <v>1678.44</v>
      </c>
      <c r="I8" s="51">
        <v>0.049</v>
      </c>
      <c r="J8" s="34" t="s">
        <v>97</v>
      </c>
      <c r="K8" s="34" t="s">
        <v>98</v>
      </c>
      <c r="L8"/>
      <c r="M8"/>
      <c r="P8" s="56">
        <v>1930.21</v>
      </c>
    </row>
    <row r="9" spans="2:16" ht="15.75">
      <c r="B9" s="10" t="s">
        <v>7</v>
      </c>
      <c r="C9" s="11" t="s">
        <v>8</v>
      </c>
      <c r="D9" s="12">
        <v>230</v>
      </c>
      <c r="E9" s="12">
        <v>265</v>
      </c>
      <c r="F9" s="12">
        <f>D9*1.048</f>
        <v>241.04000000000002</v>
      </c>
      <c r="G9" s="12">
        <v>0</v>
      </c>
      <c r="H9" s="12">
        <v>0</v>
      </c>
      <c r="I9" t="s">
        <v>109</v>
      </c>
      <c r="J9" s="34" t="s">
        <v>99</v>
      </c>
      <c r="L9"/>
      <c r="M9"/>
      <c r="P9" s="54"/>
    </row>
    <row r="10" spans="2:16" ht="15.75">
      <c r="B10" s="10" t="s">
        <v>9</v>
      </c>
      <c r="C10" s="11" t="s">
        <v>10</v>
      </c>
      <c r="D10" s="12">
        <v>330</v>
      </c>
      <c r="E10" s="12">
        <v>380</v>
      </c>
      <c r="F10" s="12">
        <f>D10*1.048</f>
        <v>345.84000000000003</v>
      </c>
      <c r="G10" s="12">
        <v>728.76</v>
      </c>
      <c r="H10" s="12">
        <f>F10*1.049</f>
        <v>362.78616</v>
      </c>
      <c r="I10" t="s">
        <v>115</v>
      </c>
      <c r="L10"/>
      <c r="M10"/>
      <c r="P10" s="56">
        <v>838.1</v>
      </c>
    </row>
    <row r="11" spans="2:16" ht="31.5">
      <c r="B11" s="39">
        <v>2</v>
      </c>
      <c r="C11" s="11" t="s">
        <v>11</v>
      </c>
      <c r="D11" s="53">
        <v>255</v>
      </c>
      <c r="E11" s="53">
        <v>470</v>
      </c>
      <c r="F11" s="53">
        <v>470</v>
      </c>
      <c r="G11" s="53">
        <v>441.36</v>
      </c>
      <c r="H11" s="53">
        <v>460</v>
      </c>
      <c r="I11" s="49" t="s">
        <v>107</v>
      </c>
      <c r="L11"/>
      <c r="M11"/>
      <c r="P11" s="63">
        <v>470</v>
      </c>
    </row>
    <row r="12" spans="2:16" ht="15.75">
      <c r="B12" s="39">
        <v>3</v>
      </c>
      <c r="C12" s="40" t="s">
        <v>12</v>
      </c>
      <c r="D12" s="41">
        <f>D13+D14</f>
        <v>7499.2</v>
      </c>
      <c r="E12" s="41">
        <f>E13+E14</f>
        <v>9702.5</v>
      </c>
      <c r="F12" s="41">
        <f>F13+F14</f>
        <v>7859.4969599999995</v>
      </c>
      <c r="G12" s="41">
        <f>G13+G14</f>
        <v>10370.34</v>
      </c>
      <c r="H12" s="41">
        <f>H13+H14</f>
        <v>13103.255088</v>
      </c>
      <c r="I12" s="41">
        <f aca="true" t="shared" si="1" ref="I12:P12">I13+I14</f>
        <v>25</v>
      </c>
      <c r="J12" s="41" t="e">
        <f t="shared" si="1"/>
        <v>#VALUE!</v>
      </c>
      <c r="K12" s="41">
        <f t="shared" si="1"/>
        <v>0</v>
      </c>
      <c r="L12" s="41">
        <f t="shared" si="1"/>
        <v>0</v>
      </c>
      <c r="M12" s="41">
        <f t="shared" si="1"/>
        <v>0</v>
      </c>
      <c r="N12" s="41">
        <f t="shared" si="1"/>
        <v>0</v>
      </c>
      <c r="O12" s="41">
        <f t="shared" si="1"/>
        <v>0</v>
      </c>
      <c r="P12" s="62">
        <f t="shared" si="1"/>
        <v>17949.87</v>
      </c>
    </row>
    <row r="13" spans="2:16" ht="45">
      <c r="B13" s="13" t="s">
        <v>13</v>
      </c>
      <c r="C13" s="14" t="s">
        <v>14</v>
      </c>
      <c r="D13" s="12">
        <v>5760</v>
      </c>
      <c r="E13" s="12">
        <v>7452</v>
      </c>
      <c r="F13" s="12">
        <f>D13*1048/1000</f>
        <v>6036.48</v>
      </c>
      <c r="G13" s="12">
        <v>8227.34</v>
      </c>
      <c r="H13" s="12">
        <f>F13/16*25*1.067</f>
        <v>10063.944</v>
      </c>
      <c r="I13">
        <v>25</v>
      </c>
      <c r="J13" s="34" t="s">
        <v>121</v>
      </c>
      <c r="L13"/>
      <c r="M13"/>
      <c r="P13" s="56">
        <v>13786.38</v>
      </c>
    </row>
    <row r="14" spans="2:16" ht="15.75">
      <c r="B14" s="13" t="s">
        <v>15</v>
      </c>
      <c r="C14" s="14" t="s">
        <v>91</v>
      </c>
      <c r="D14" s="12">
        <v>1739.2</v>
      </c>
      <c r="E14" s="12">
        <v>2250.5</v>
      </c>
      <c r="F14" s="12">
        <f>F13*30.2/100</f>
        <v>1823.01696</v>
      </c>
      <c r="G14" s="12">
        <v>2143</v>
      </c>
      <c r="H14" s="12">
        <f>H13*30.2/100</f>
        <v>3039.311088</v>
      </c>
      <c r="L14"/>
      <c r="M14"/>
      <c r="P14" s="56">
        <v>4163.49</v>
      </c>
    </row>
    <row r="15" spans="2:16" ht="15.75">
      <c r="B15" s="39">
        <v>4</v>
      </c>
      <c r="C15" s="40" t="s">
        <v>16</v>
      </c>
      <c r="D15" s="41">
        <f>D16+D17+D23+D24+D25+D26+D27+D28+D32</f>
        <v>8511.52</v>
      </c>
      <c r="E15" s="41">
        <f>E16+E17+E23+E24+E25+E26+E27+E28+E32</f>
        <v>10199.5</v>
      </c>
      <c r="F15" s="41">
        <f>F16+F17+F23+F24+F25+F26+F27+F28+F32</f>
        <v>9153.388</v>
      </c>
      <c r="G15" s="41">
        <f>G16+G17+G23+G24+G25+G26+G27+G28+G32</f>
        <v>7028.08</v>
      </c>
      <c r="H15" s="41">
        <f>H16+H17+H19+H22+H23+H24+H25+H26+H27+H28+H32+H34</f>
        <v>11313.418164</v>
      </c>
      <c r="I15" s="41" t="e">
        <f aca="true" t="shared" si="2" ref="I15:O15">I16+I17+I19+I22+I23+I24+I25+I26+I27+I28+I32+I34</f>
        <v>#VALUE!</v>
      </c>
      <c r="J15" s="41" t="e">
        <f t="shared" si="2"/>
        <v>#VALUE!</v>
      </c>
      <c r="K15" s="41" t="e">
        <f t="shared" si="2"/>
        <v>#VALUE!</v>
      </c>
      <c r="L15" s="41">
        <f t="shared" si="2"/>
        <v>0</v>
      </c>
      <c r="M15" s="41">
        <f t="shared" si="2"/>
        <v>0</v>
      </c>
      <c r="N15" s="41">
        <f t="shared" si="2"/>
        <v>17048.836328</v>
      </c>
      <c r="O15" s="41">
        <f t="shared" si="2"/>
        <v>0</v>
      </c>
      <c r="P15" s="62">
        <f>P16+P17+P23+P24+P25+P26+P27+P28+P32</f>
        <v>10646</v>
      </c>
    </row>
    <row r="16" spans="2:16" ht="15.75">
      <c r="B16" s="10" t="s">
        <v>17</v>
      </c>
      <c r="C16" s="11" t="s">
        <v>18</v>
      </c>
      <c r="D16" s="12">
        <v>341</v>
      </c>
      <c r="E16" s="12">
        <v>395</v>
      </c>
      <c r="F16" s="12">
        <f>D16*1.048</f>
        <v>357.368</v>
      </c>
      <c r="G16" s="12">
        <v>195.4</v>
      </c>
      <c r="H16" s="12">
        <v>356.66</v>
      </c>
      <c r="I16" t="s">
        <v>116</v>
      </c>
      <c r="J16" s="34">
        <f>340*1.049</f>
        <v>356.65999999999997</v>
      </c>
      <c r="L16"/>
      <c r="M16"/>
      <c r="P16" s="56">
        <v>410</v>
      </c>
    </row>
    <row r="17" spans="2:16" ht="15.75">
      <c r="B17" s="10" t="s">
        <v>19</v>
      </c>
      <c r="C17" s="11" t="s">
        <v>20</v>
      </c>
      <c r="D17" s="12">
        <f>D19+D20+D21+D22</f>
        <v>760</v>
      </c>
      <c r="E17" s="12">
        <f aca="true" t="shared" si="3" ref="E17:O17">E19+E20+E21+E22</f>
        <v>875</v>
      </c>
      <c r="F17" s="12">
        <f t="shared" si="3"/>
        <v>815.6800000000001</v>
      </c>
      <c r="G17" s="12">
        <f t="shared" si="3"/>
        <v>875.4</v>
      </c>
      <c r="H17" s="12">
        <f t="shared" si="3"/>
        <v>860.01216</v>
      </c>
      <c r="I17" s="12" t="e">
        <f t="shared" si="3"/>
        <v>#VALUE!</v>
      </c>
      <c r="J17" s="12">
        <f t="shared" si="3"/>
        <v>886.405</v>
      </c>
      <c r="K17" s="12">
        <f t="shared" si="3"/>
        <v>0</v>
      </c>
      <c r="L17" s="12">
        <f t="shared" si="3"/>
        <v>0</v>
      </c>
      <c r="M17" s="12">
        <f t="shared" si="3"/>
        <v>0</v>
      </c>
      <c r="N17" s="12">
        <f t="shared" si="3"/>
        <v>8524.418164</v>
      </c>
      <c r="O17" s="12">
        <f t="shared" si="3"/>
        <v>0</v>
      </c>
      <c r="P17" s="64">
        <f>P19+P20+P21+P22</f>
        <v>1070</v>
      </c>
    </row>
    <row r="18" spans="2:16" ht="15.75">
      <c r="B18" s="10"/>
      <c r="C18" s="11" t="s">
        <v>21</v>
      </c>
      <c r="D18" s="12"/>
      <c r="E18" s="12"/>
      <c r="F18" s="12"/>
      <c r="G18" s="12"/>
      <c r="H18" s="12"/>
      <c r="P18" s="54"/>
    </row>
    <row r="19" spans="2:16" ht="16.5" customHeight="1">
      <c r="B19" s="10" t="s">
        <v>22</v>
      </c>
      <c r="C19" s="11" t="s">
        <v>23</v>
      </c>
      <c r="D19" s="12">
        <v>330</v>
      </c>
      <c r="E19" s="12">
        <v>380</v>
      </c>
      <c r="F19" s="12">
        <f>D19*1.048</f>
        <v>345.84000000000003</v>
      </c>
      <c r="G19" s="12">
        <v>304.39</v>
      </c>
      <c r="H19" s="12">
        <f>350*1.049</f>
        <v>367.15</v>
      </c>
      <c r="I19" t="s">
        <v>117</v>
      </c>
      <c r="J19" s="34">
        <f>350*1.049</f>
        <v>367.15</v>
      </c>
      <c r="N19" s="3">
        <f>H16+H17+H19+H22+H23+H24+H25+H26+H27+H28+H34</f>
        <v>8524.418164</v>
      </c>
      <c r="P19" s="56">
        <v>420</v>
      </c>
    </row>
    <row r="20" spans="2:16" ht="15.75">
      <c r="B20" s="10" t="s">
        <v>24</v>
      </c>
      <c r="C20" s="11" t="s">
        <v>25</v>
      </c>
      <c r="D20" s="12"/>
      <c r="E20" s="12"/>
      <c r="F20" s="12"/>
      <c r="G20" s="12"/>
      <c r="H20" s="12"/>
      <c r="P20" s="54"/>
    </row>
    <row r="21" spans="2:16" ht="15.75">
      <c r="B21" s="10" t="s">
        <v>26</v>
      </c>
      <c r="C21" s="15" t="s">
        <v>27</v>
      </c>
      <c r="D21" s="12"/>
      <c r="E21" s="12"/>
      <c r="F21" s="12">
        <f>E21</f>
        <v>0</v>
      </c>
      <c r="G21" s="12"/>
      <c r="H21" s="12"/>
      <c r="P21" s="54"/>
    </row>
    <row r="22" spans="2:16" ht="15.75">
      <c r="B22" s="10" t="s">
        <v>28</v>
      </c>
      <c r="C22" s="15" t="s">
        <v>29</v>
      </c>
      <c r="D22" s="12">
        <v>430</v>
      </c>
      <c r="E22" s="12">
        <v>495</v>
      </c>
      <c r="F22" s="12">
        <f>D22*1.048+19.2</f>
        <v>469.84000000000003</v>
      </c>
      <c r="G22" s="12">
        <v>571.01</v>
      </c>
      <c r="H22" s="12">
        <f>469.84*1.049</f>
        <v>492.86215999999996</v>
      </c>
      <c r="I22" t="s">
        <v>120</v>
      </c>
      <c r="J22" s="34">
        <f>495*1.049</f>
        <v>519.255</v>
      </c>
      <c r="P22" s="56">
        <v>650</v>
      </c>
    </row>
    <row r="23" spans="2:16" ht="25.5">
      <c r="B23" s="10" t="s">
        <v>30</v>
      </c>
      <c r="C23" s="11" t="s">
        <v>31</v>
      </c>
      <c r="D23" s="12">
        <v>45</v>
      </c>
      <c r="E23" s="12">
        <v>52</v>
      </c>
      <c r="F23" s="12">
        <f>D23*1.048</f>
        <v>47.160000000000004</v>
      </c>
      <c r="G23" s="12">
        <v>45</v>
      </c>
      <c r="H23" s="12">
        <f>50*1.049</f>
        <v>52.449999999999996</v>
      </c>
      <c r="I23" t="s">
        <v>118</v>
      </c>
      <c r="P23" s="56">
        <v>60</v>
      </c>
    </row>
    <row r="24" spans="2:16" ht="15.75">
      <c r="B24" s="10" t="s">
        <v>32</v>
      </c>
      <c r="C24" s="11" t="s">
        <v>33</v>
      </c>
      <c r="D24" s="12">
        <v>770</v>
      </c>
      <c r="E24" s="12">
        <v>885.5</v>
      </c>
      <c r="F24" s="12">
        <f>D24*1.048</f>
        <v>806.96</v>
      </c>
      <c r="G24" s="12">
        <v>184.8</v>
      </c>
      <c r="H24" s="12">
        <v>185</v>
      </c>
      <c r="I24" t="s">
        <v>113</v>
      </c>
      <c r="P24" s="56">
        <v>215</v>
      </c>
    </row>
    <row r="25" spans="2:16" ht="15.75">
      <c r="B25" s="10" t="s">
        <v>34</v>
      </c>
      <c r="C25" s="11" t="s">
        <v>35</v>
      </c>
      <c r="D25" s="12">
        <v>57</v>
      </c>
      <c r="E25" s="12">
        <v>65</v>
      </c>
      <c r="F25" s="12">
        <f>D25*1.048</f>
        <v>59.736000000000004</v>
      </c>
      <c r="G25" s="12">
        <v>20.5</v>
      </c>
      <c r="H25" s="12">
        <v>93.34</v>
      </c>
      <c r="I25" t="s">
        <v>122</v>
      </c>
      <c r="P25" s="56">
        <v>95</v>
      </c>
    </row>
    <row r="26" spans="2:16" ht="15.75">
      <c r="B26" s="10" t="s">
        <v>36</v>
      </c>
      <c r="C26" s="11" t="s">
        <v>37</v>
      </c>
      <c r="D26" s="12">
        <v>5</v>
      </c>
      <c r="E26" s="12">
        <v>6</v>
      </c>
      <c r="F26" s="12">
        <f>D26*1.048</f>
        <v>5.24</v>
      </c>
      <c r="G26" s="12">
        <v>5.65</v>
      </c>
      <c r="H26" s="12">
        <f>25*1500/1000</f>
        <v>37.5</v>
      </c>
      <c r="I26" t="s">
        <v>110</v>
      </c>
      <c r="P26" s="56">
        <v>45</v>
      </c>
    </row>
    <row r="27" spans="2:16" ht="15.75">
      <c r="B27" s="10" t="s">
        <v>38</v>
      </c>
      <c r="C27" s="11" t="s">
        <v>39</v>
      </c>
      <c r="D27" s="12">
        <v>9.5</v>
      </c>
      <c r="E27" s="12">
        <v>11</v>
      </c>
      <c r="F27" s="12">
        <f>D27*1.048</f>
        <v>9.956</v>
      </c>
      <c r="G27" s="12">
        <v>6</v>
      </c>
      <c r="H27" s="12">
        <f>F27*1.049</f>
        <v>10.443843999999999</v>
      </c>
      <c r="K27" s="52"/>
      <c r="P27" s="56">
        <v>12</v>
      </c>
    </row>
    <row r="28" spans="2:16" ht="25.5">
      <c r="B28" s="10" t="s">
        <v>40</v>
      </c>
      <c r="C28" s="11" t="s">
        <v>41</v>
      </c>
      <c r="D28" s="12">
        <f>D30+D31</f>
        <v>4643.02</v>
      </c>
      <c r="E28" s="12">
        <f>E30+E31</f>
        <v>5745</v>
      </c>
      <c r="F28" s="12">
        <f>F30+F31</f>
        <v>5080</v>
      </c>
      <c r="G28" s="12">
        <f>G30+G31</f>
        <v>3523.7599999999998</v>
      </c>
      <c r="H28" s="12">
        <f>H30+H31</f>
        <v>5910</v>
      </c>
      <c r="P28" s="65">
        <f>SUM(P30:P31)</f>
        <v>6219</v>
      </c>
    </row>
    <row r="29" spans="2:16" ht="15.75">
      <c r="B29" s="10"/>
      <c r="C29" s="11" t="s">
        <v>42</v>
      </c>
      <c r="D29" s="12"/>
      <c r="E29" s="12"/>
      <c r="F29" s="12"/>
      <c r="G29" s="12"/>
      <c r="H29" s="12"/>
      <c r="P29" s="54"/>
    </row>
    <row r="30" spans="2:16" ht="60">
      <c r="B30" s="10" t="s">
        <v>43</v>
      </c>
      <c r="C30" s="11" t="s">
        <v>44</v>
      </c>
      <c r="D30" s="12">
        <f>866.02+600</f>
        <v>1466.02</v>
      </c>
      <c r="E30" s="12">
        <f>1095+990</f>
        <v>2085</v>
      </c>
      <c r="F30" s="50">
        <v>1580</v>
      </c>
      <c r="G30" s="50">
        <v>554.81</v>
      </c>
      <c r="H30" s="12">
        <v>2010</v>
      </c>
      <c r="I30" t="s">
        <v>114</v>
      </c>
      <c r="J30" s="34" t="s">
        <v>100</v>
      </c>
      <c r="K30" s="34" t="s">
        <v>101</v>
      </c>
      <c r="P30" s="56">
        <f>759+1200+60</f>
        <v>2019</v>
      </c>
    </row>
    <row r="31" spans="2:16" ht="30">
      <c r="B31" s="10" t="s">
        <v>45</v>
      </c>
      <c r="C31" s="11" t="s">
        <v>46</v>
      </c>
      <c r="D31" s="12">
        <f>1607+320+460+790</f>
        <v>3177</v>
      </c>
      <c r="E31" s="12">
        <f>1850+370+530+910</f>
        <v>3660</v>
      </c>
      <c r="F31" s="12">
        <v>3500</v>
      </c>
      <c r="G31" s="12">
        <v>2968.95</v>
      </c>
      <c r="H31" s="12">
        <v>3900</v>
      </c>
      <c r="J31" s="42" t="s">
        <v>102</v>
      </c>
      <c r="K31" s="42" t="s">
        <v>103</v>
      </c>
      <c r="L31" s="42" t="s">
        <v>92</v>
      </c>
      <c r="M31" s="42" t="s">
        <v>104</v>
      </c>
      <c r="N31" s="43"/>
      <c r="P31" s="56">
        <f>400+550+2200+1050</f>
        <v>4200</v>
      </c>
    </row>
    <row r="32" spans="2:16" ht="38.25">
      <c r="B32" s="10" t="s">
        <v>47</v>
      </c>
      <c r="C32" s="11" t="s">
        <v>119</v>
      </c>
      <c r="D32" s="12">
        <f>1274+500+D34</f>
        <v>1881</v>
      </c>
      <c r="E32" s="12">
        <f>1465+575+E34</f>
        <v>2165</v>
      </c>
      <c r="F32" s="50">
        <f>D32*1.048</f>
        <v>1971.288</v>
      </c>
      <c r="G32" s="50">
        <f>SUM(G34:G38)</f>
        <v>2171.57</v>
      </c>
      <c r="H32" s="12">
        <f>1400+670+719</f>
        <v>2789</v>
      </c>
      <c r="J32" s="44" t="s">
        <v>105</v>
      </c>
      <c r="K32" s="44" t="s">
        <v>111</v>
      </c>
      <c r="L32" s="44"/>
      <c r="M32" s="44"/>
      <c r="N32" s="44"/>
      <c r="P32" s="56">
        <f>706+355+1300+150+9</f>
        <v>2520</v>
      </c>
    </row>
    <row r="33" spans="2:16" ht="15.75">
      <c r="B33" s="10"/>
      <c r="C33" s="11" t="s">
        <v>48</v>
      </c>
      <c r="D33" s="2"/>
      <c r="E33" s="2"/>
      <c r="F33" s="2"/>
      <c r="G33" s="2"/>
      <c r="H33" s="2"/>
      <c r="J33" s="42"/>
      <c r="K33" s="42"/>
      <c r="L33" s="42"/>
      <c r="M33" s="42"/>
      <c r="N33" s="43"/>
      <c r="P33" s="54"/>
    </row>
    <row r="34" spans="2:16" ht="15.75">
      <c r="B34" s="10" t="s">
        <v>49</v>
      </c>
      <c r="C34" s="11" t="s">
        <v>50</v>
      </c>
      <c r="D34" s="12">
        <f>D35+D36+D37+D38</f>
        <v>107</v>
      </c>
      <c r="E34" s="12">
        <f>E35+E36+E37+E38</f>
        <v>125</v>
      </c>
      <c r="F34" s="12">
        <f>F35+F36+F37+F38</f>
        <v>125</v>
      </c>
      <c r="G34" s="12">
        <f>G36+G37</f>
        <v>52.9</v>
      </c>
      <c r="H34" s="12">
        <f>H36+H37</f>
        <v>159</v>
      </c>
      <c r="I34" t="s">
        <v>108</v>
      </c>
      <c r="J34" s="42"/>
      <c r="K34" s="42"/>
      <c r="L34" s="42"/>
      <c r="M34" s="42"/>
      <c r="N34" s="43"/>
      <c r="P34" s="56">
        <f>P36+P37</f>
        <v>159</v>
      </c>
    </row>
    <row r="35" spans="2:16" ht="15.75">
      <c r="B35" s="10" t="s">
        <v>51</v>
      </c>
      <c r="C35" s="11" t="s">
        <v>52</v>
      </c>
      <c r="D35" s="12"/>
      <c r="E35" s="12"/>
      <c r="F35" s="12"/>
      <c r="G35" s="12"/>
      <c r="H35" s="12"/>
      <c r="J35" s="42"/>
      <c r="K35" s="42"/>
      <c r="L35" s="42"/>
      <c r="M35" s="42"/>
      <c r="N35" s="43"/>
      <c r="P35" s="54"/>
    </row>
    <row r="36" spans="2:16" ht="15.75">
      <c r="B36" s="10" t="s">
        <v>53</v>
      </c>
      <c r="C36" s="11" t="s">
        <v>54</v>
      </c>
      <c r="D36" s="12">
        <v>107</v>
      </c>
      <c r="E36" s="12">
        <v>125</v>
      </c>
      <c r="F36" s="12">
        <f>E36</f>
        <v>125</v>
      </c>
      <c r="G36" s="12">
        <v>48.5</v>
      </c>
      <c r="H36" s="12">
        <v>150</v>
      </c>
      <c r="J36" s="42"/>
      <c r="K36" s="42"/>
      <c r="L36" s="42"/>
      <c r="M36" s="42"/>
      <c r="N36" s="43"/>
      <c r="P36" s="56">
        <v>150</v>
      </c>
    </row>
    <row r="37" spans="2:16" ht="15.75">
      <c r="B37" s="10" t="s">
        <v>55</v>
      </c>
      <c r="C37" s="11" t="s">
        <v>56</v>
      </c>
      <c r="D37" s="12"/>
      <c r="E37" s="12"/>
      <c r="F37" s="12"/>
      <c r="G37" s="12">
        <v>4.4</v>
      </c>
      <c r="H37" s="12">
        <v>9</v>
      </c>
      <c r="J37" s="42"/>
      <c r="K37" s="42"/>
      <c r="L37" s="42"/>
      <c r="M37" s="42"/>
      <c r="N37" s="43"/>
      <c r="P37" s="56">
        <v>9</v>
      </c>
    </row>
    <row r="38" spans="2:16" ht="15.75">
      <c r="B38" s="10" t="s">
        <v>57</v>
      </c>
      <c r="C38" s="15" t="s">
        <v>128</v>
      </c>
      <c r="D38" s="12"/>
      <c r="E38" s="12"/>
      <c r="F38" s="12"/>
      <c r="G38" s="12">
        <v>2065.77</v>
      </c>
      <c r="H38" s="12"/>
      <c r="P38" s="56">
        <v>0</v>
      </c>
    </row>
    <row r="39" spans="2:16" ht="15.75">
      <c r="B39" s="16">
        <v>5</v>
      </c>
      <c r="C39" s="17" t="s">
        <v>58</v>
      </c>
      <c r="D39" s="18">
        <f>D7+D11+D12+D15</f>
        <v>17850.72</v>
      </c>
      <c r="E39" s="18">
        <f>E7+E11+E12+E15</f>
        <v>22197</v>
      </c>
      <c r="F39" s="18">
        <f>F7+F11+F12+F15</f>
        <v>19143.964959999998</v>
      </c>
      <c r="G39" s="18">
        <f>G7+G11+G12+G15</f>
        <v>19622.34</v>
      </c>
      <c r="H39" s="18">
        <f>H7+H11+H12+H15</f>
        <v>26917.899412</v>
      </c>
      <c r="I39" s="18" t="e">
        <f aca="true" t="shared" si="4" ref="I39:O39">I7+I11+I12+I15</f>
        <v>#VALUE!</v>
      </c>
      <c r="J39" s="18" t="e">
        <f t="shared" si="4"/>
        <v>#VALUE!</v>
      </c>
      <c r="K39" s="18" t="e">
        <f t="shared" si="4"/>
        <v>#VALUE!</v>
      </c>
      <c r="L39" s="18">
        <f t="shared" si="4"/>
        <v>0</v>
      </c>
      <c r="M39" s="18">
        <f t="shared" si="4"/>
        <v>0</v>
      </c>
      <c r="N39" s="18">
        <f t="shared" si="4"/>
        <v>17048.836328</v>
      </c>
      <c r="O39" s="18">
        <f t="shared" si="4"/>
        <v>0</v>
      </c>
      <c r="P39" s="18">
        <f>P7+P11+P12+P15</f>
        <v>31834.18</v>
      </c>
    </row>
    <row r="40" spans="2:16" ht="42.75">
      <c r="B40" s="19"/>
      <c r="C40" s="20" t="s">
        <v>59</v>
      </c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</row>
    <row r="41" spans="2:16" ht="15.75">
      <c r="B41" s="10">
        <v>1</v>
      </c>
      <c r="C41" s="22" t="s">
        <v>60</v>
      </c>
      <c r="D41" s="5"/>
      <c r="E41" s="4"/>
      <c r="F41" s="4"/>
      <c r="G41" s="4"/>
      <c r="H41" s="4"/>
      <c r="P41" s="54"/>
    </row>
    <row r="42" spans="2:16" ht="15.75">
      <c r="B42" s="10">
        <v>2</v>
      </c>
      <c r="C42" s="22" t="s">
        <v>61</v>
      </c>
      <c r="D42" s="5"/>
      <c r="E42" s="4"/>
      <c r="F42" s="4"/>
      <c r="G42" s="4"/>
      <c r="H42" s="4"/>
      <c r="P42" s="54"/>
    </row>
    <row r="43" spans="2:16" ht="15.75">
      <c r="B43" s="10">
        <v>3</v>
      </c>
      <c r="C43" s="22" t="s">
        <v>62</v>
      </c>
      <c r="D43" s="12">
        <v>465</v>
      </c>
      <c r="E43" s="12">
        <v>635</v>
      </c>
      <c r="F43" s="12">
        <f>D43*1.048</f>
        <v>487.32</v>
      </c>
      <c r="G43" s="12">
        <v>1012.6</v>
      </c>
      <c r="H43" s="12">
        <v>1500</v>
      </c>
      <c r="P43" s="56">
        <v>1700</v>
      </c>
    </row>
    <row r="44" spans="2:16" ht="15.75">
      <c r="B44" s="10"/>
      <c r="C44" s="22" t="s">
        <v>42</v>
      </c>
      <c r="D44" s="12"/>
      <c r="E44" s="12"/>
      <c r="F44" s="12"/>
      <c r="G44" s="12"/>
      <c r="H44" s="12"/>
      <c r="P44" s="54"/>
    </row>
    <row r="45" spans="2:16" ht="47.25">
      <c r="B45" s="10" t="s">
        <v>63</v>
      </c>
      <c r="C45" s="22" t="s">
        <v>64</v>
      </c>
      <c r="D45" s="12">
        <v>0</v>
      </c>
      <c r="E45" s="12">
        <v>0</v>
      </c>
      <c r="F45" s="12">
        <f>E45</f>
        <v>0</v>
      </c>
      <c r="G45" s="12">
        <v>0</v>
      </c>
      <c r="H45" s="12">
        <v>0</v>
      </c>
      <c r="P45" s="54"/>
    </row>
    <row r="46" spans="2:16" ht="78.75">
      <c r="B46" s="10" t="s">
        <v>65</v>
      </c>
      <c r="C46" s="22" t="s">
        <v>66</v>
      </c>
      <c r="D46" s="12"/>
      <c r="E46" s="4"/>
      <c r="F46" s="12"/>
      <c r="G46" s="12"/>
      <c r="H46" s="12"/>
      <c r="P46" s="54"/>
    </row>
    <row r="47" spans="2:16" ht="31.5">
      <c r="B47" s="10" t="s">
        <v>67</v>
      </c>
      <c r="C47" s="22" t="s">
        <v>68</v>
      </c>
      <c r="D47" s="12"/>
      <c r="E47" s="4"/>
      <c r="F47" s="12"/>
      <c r="G47" s="12"/>
      <c r="H47" s="12"/>
      <c r="P47" s="54"/>
    </row>
    <row r="48" spans="2:16" ht="63">
      <c r="B48" s="10">
        <v>4</v>
      </c>
      <c r="C48" s="22" t="s">
        <v>69</v>
      </c>
      <c r="D48" s="12"/>
      <c r="E48" s="4"/>
      <c r="F48" s="12"/>
      <c r="G48" s="12"/>
      <c r="H48" s="12"/>
      <c r="P48" s="54"/>
    </row>
    <row r="49" spans="2:16" ht="30">
      <c r="B49" s="10">
        <v>5</v>
      </c>
      <c r="C49" s="22" t="s">
        <v>70</v>
      </c>
      <c r="D49" s="12">
        <v>1047.78</v>
      </c>
      <c r="E49" s="12">
        <v>3000</v>
      </c>
      <c r="F49" s="12">
        <f>D49*1.048</f>
        <v>1098.0734400000001</v>
      </c>
      <c r="G49" s="12">
        <v>1098.01</v>
      </c>
      <c r="H49" s="12">
        <v>5828.03</v>
      </c>
      <c r="J49" s="34" t="s">
        <v>112</v>
      </c>
      <c r="P49" s="56">
        <v>5870</v>
      </c>
    </row>
    <row r="50" spans="2:16" ht="15.75">
      <c r="B50" s="10">
        <v>6</v>
      </c>
      <c r="C50" s="22" t="s">
        <v>71</v>
      </c>
      <c r="D50" s="12">
        <f>210+250</f>
        <v>460</v>
      </c>
      <c r="E50" s="12">
        <f>290+240</f>
        <v>530</v>
      </c>
      <c r="F50" s="12">
        <f>D50*1.049</f>
        <v>482.53999999999996</v>
      </c>
      <c r="G50" s="12">
        <v>293.7</v>
      </c>
      <c r="H50" s="50">
        <f>F50*1.049</f>
        <v>506.18445999999994</v>
      </c>
      <c r="J50" s="34" t="s">
        <v>106</v>
      </c>
      <c r="K50"/>
      <c r="L50"/>
      <c r="M50"/>
      <c r="P50" s="56">
        <v>8</v>
      </c>
    </row>
    <row r="51" spans="2:16" ht="15.75">
      <c r="B51" s="23">
        <v>7</v>
      </c>
      <c r="C51" s="24" t="s">
        <v>72</v>
      </c>
      <c r="D51" s="25">
        <f>D43+D49+D50</f>
        <v>1972.78</v>
      </c>
      <c r="E51" s="25">
        <f>E43+E49+E50</f>
        <v>4165</v>
      </c>
      <c r="F51" s="25">
        <f>F43+F49+F50</f>
        <v>2067.93344</v>
      </c>
      <c r="G51" s="25">
        <f>G43+G49+G50</f>
        <v>2404.31</v>
      </c>
      <c r="H51" s="25">
        <f>H43+H49+H50</f>
        <v>7834.214459999999</v>
      </c>
      <c r="I51" s="25">
        <f aca="true" t="shared" si="5" ref="I51:P51">I43+I49+I50</f>
        <v>0</v>
      </c>
      <c r="J51" s="25" t="e">
        <f t="shared" si="5"/>
        <v>#VALUE!</v>
      </c>
      <c r="K51" s="25">
        <f t="shared" si="5"/>
        <v>0</v>
      </c>
      <c r="L51" s="25">
        <f t="shared" si="5"/>
        <v>0</v>
      </c>
      <c r="M51" s="25">
        <f t="shared" si="5"/>
        <v>0</v>
      </c>
      <c r="N51" s="25">
        <f t="shared" si="5"/>
        <v>0</v>
      </c>
      <c r="O51" s="25">
        <f t="shared" si="5"/>
        <v>0</v>
      </c>
      <c r="P51" s="25">
        <f t="shared" si="5"/>
        <v>7578</v>
      </c>
    </row>
    <row r="52" spans="2:16" ht="15.75">
      <c r="B52" s="26"/>
      <c r="C52" s="27" t="s">
        <v>73</v>
      </c>
      <c r="D52" s="28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</row>
    <row r="53" spans="2:16" ht="15.75">
      <c r="B53" s="10">
        <v>1</v>
      </c>
      <c r="C53" s="22" t="s">
        <v>74</v>
      </c>
      <c r="D53" s="12">
        <f>D55+D56</f>
        <v>37.5</v>
      </c>
      <c r="E53" s="12">
        <f>E55</f>
        <v>43.13</v>
      </c>
      <c r="F53" s="12">
        <f>F55</f>
        <v>43.13</v>
      </c>
      <c r="G53" s="12">
        <f>G55</f>
        <v>70.62</v>
      </c>
      <c r="H53" s="12">
        <v>65.52046875</v>
      </c>
      <c r="K53"/>
      <c r="L53"/>
      <c r="M53"/>
      <c r="P53" s="56">
        <v>87.5</v>
      </c>
    </row>
    <row r="54" spans="2:16" ht="15.75">
      <c r="B54" s="10"/>
      <c r="C54" s="22" t="s">
        <v>75</v>
      </c>
      <c r="D54" s="12"/>
      <c r="E54" s="12"/>
      <c r="F54" s="12"/>
      <c r="G54" s="12"/>
      <c r="H54" s="12"/>
      <c r="K54"/>
      <c r="L54"/>
      <c r="M54"/>
      <c r="P54" s="54"/>
    </row>
    <row r="55" spans="2:16" ht="15.75">
      <c r="B55" s="10" t="s">
        <v>76</v>
      </c>
      <c r="C55" s="22" t="s">
        <v>77</v>
      </c>
      <c r="D55" s="12">
        <v>37.5</v>
      </c>
      <c r="E55" s="12">
        <v>43.13</v>
      </c>
      <c r="F55" s="12">
        <f>E55</f>
        <v>43.13</v>
      </c>
      <c r="G55" s="12">
        <v>70.62</v>
      </c>
      <c r="H55" s="12">
        <f>H61*0.2/0.8</f>
        <v>65.52046875</v>
      </c>
      <c r="K55"/>
      <c r="L55"/>
      <c r="M55"/>
      <c r="P55" s="56">
        <v>87.5</v>
      </c>
    </row>
    <row r="56" spans="2:16" ht="15.75">
      <c r="B56" s="10" t="s">
        <v>78</v>
      </c>
      <c r="C56" s="30" t="s">
        <v>79</v>
      </c>
      <c r="D56" s="12"/>
      <c r="E56" s="12"/>
      <c r="F56" s="12"/>
      <c r="G56" s="12"/>
      <c r="H56" s="12"/>
      <c r="K56"/>
      <c r="L56"/>
      <c r="M56"/>
      <c r="P56" s="54"/>
    </row>
    <row r="57" spans="2:16" ht="15.75">
      <c r="B57" s="10">
        <v>2</v>
      </c>
      <c r="C57" s="22" t="s">
        <v>80</v>
      </c>
      <c r="D57" s="12">
        <f>D58+D61+D62</f>
        <v>150</v>
      </c>
      <c r="E57" s="12">
        <f>E58+E61+E62</f>
        <v>175</v>
      </c>
      <c r="F57" s="12">
        <f>F58+F61+F62</f>
        <v>157.20000000000002</v>
      </c>
      <c r="G57" s="12">
        <f>G58+G61+G62</f>
        <v>282.46</v>
      </c>
      <c r="H57" s="12">
        <f>H58+H61+H62</f>
        <v>262.081875</v>
      </c>
      <c r="K57"/>
      <c r="L57"/>
      <c r="M57"/>
      <c r="P57" s="56">
        <v>350</v>
      </c>
    </row>
    <row r="58" spans="2:16" ht="15.75">
      <c r="B58" s="10" t="s">
        <v>81</v>
      </c>
      <c r="C58" s="22" t="s">
        <v>82</v>
      </c>
      <c r="D58" s="12"/>
      <c r="E58" s="12"/>
      <c r="F58" s="12"/>
      <c r="G58" s="12"/>
      <c r="H58" s="12"/>
      <c r="K58"/>
      <c r="L58"/>
      <c r="M58"/>
      <c r="P58" s="54"/>
    </row>
    <row r="59" spans="2:16" ht="15.75">
      <c r="B59" s="10"/>
      <c r="C59" s="22" t="s">
        <v>83</v>
      </c>
      <c r="D59" s="12"/>
      <c r="E59" s="12"/>
      <c r="F59" s="12"/>
      <c r="G59" s="12"/>
      <c r="H59" s="12"/>
      <c r="K59"/>
      <c r="L59"/>
      <c r="M59"/>
      <c r="P59" s="54"/>
    </row>
    <row r="60" spans="2:16" ht="15.75">
      <c r="B60" s="10" t="s">
        <v>84</v>
      </c>
      <c r="C60" s="22" t="s">
        <v>85</v>
      </c>
      <c r="D60" s="12"/>
      <c r="E60" s="12"/>
      <c r="F60" s="12"/>
      <c r="G60" s="12"/>
      <c r="H60" s="12"/>
      <c r="K60"/>
      <c r="L60"/>
      <c r="M60"/>
      <c r="P60" s="54"/>
    </row>
    <row r="61" spans="2:16" ht="15.75">
      <c r="B61" s="10" t="s">
        <v>86</v>
      </c>
      <c r="C61" s="22" t="s">
        <v>87</v>
      </c>
      <c r="D61" s="12">
        <v>150</v>
      </c>
      <c r="E61" s="12">
        <v>175</v>
      </c>
      <c r="F61" s="12">
        <f>D61*1.048</f>
        <v>157.20000000000002</v>
      </c>
      <c r="G61" s="12">
        <v>282.46</v>
      </c>
      <c r="H61" s="12">
        <f>F61/16*25*1.067</f>
        <v>262.081875</v>
      </c>
      <c r="K61"/>
      <c r="L61"/>
      <c r="M61"/>
      <c r="P61" s="56">
        <v>350</v>
      </c>
    </row>
    <row r="62" spans="2:16" ht="15.75">
      <c r="B62" s="10" t="s">
        <v>88</v>
      </c>
      <c r="C62" s="22" t="s">
        <v>93</v>
      </c>
      <c r="D62" s="12"/>
      <c r="E62" s="12"/>
      <c r="F62" s="12"/>
      <c r="G62" s="12"/>
      <c r="H62" s="12"/>
      <c r="K62"/>
      <c r="L62"/>
      <c r="M62"/>
      <c r="P62" s="54"/>
    </row>
    <row r="63" spans="2:16" ht="15.75">
      <c r="B63" s="26">
        <v>3</v>
      </c>
      <c r="C63" s="27" t="s">
        <v>89</v>
      </c>
      <c r="D63" s="28">
        <f>D53+D57</f>
        <v>187.5</v>
      </c>
      <c r="E63" s="28">
        <f aca="true" t="shared" si="6" ref="E63:O63">E53+E57</f>
        <v>218.13</v>
      </c>
      <c r="F63" s="28">
        <f t="shared" si="6"/>
        <v>200.33</v>
      </c>
      <c r="G63" s="28">
        <f t="shared" si="6"/>
        <v>353.08</v>
      </c>
      <c r="H63" s="28">
        <f t="shared" si="6"/>
        <v>327.60234375000005</v>
      </c>
      <c r="I63" s="28">
        <f t="shared" si="6"/>
        <v>0</v>
      </c>
      <c r="J63" s="28">
        <f t="shared" si="6"/>
        <v>0</v>
      </c>
      <c r="K63" s="28">
        <f t="shared" si="6"/>
        <v>0</v>
      </c>
      <c r="L63" s="28">
        <f t="shared" si="6"/>
        <v>0</v>
      </c>
      <c r="M63" s="28">
        <f t="shared" si="6"/>
        <v>0</v>
      </c>
      <c r="N63" s="28">
        <f t="shared" si="6"/>
        <v>0</v>
      </c>
      <c r="O63" s="28">
        <f t="shared" si="6"/>
        <v>0</v>
      </c>
      <c r="P63" s="28">
        <f>P53+P57</f>
        <v>437.5</v>
      </c>
    </row>
    <row r="64" spans="2:16" ht="19.5">
      <c r="B64" s="31"/>
      <c r="C64" s="32" t="s">
        <v>90</v>
      </c>
      <c r="D64" s="33">
        <f>D39+D51+D63</f>
        <v>20011</v>
      </c>
      <c r="E64" s="33">
        <f>E39+E51+E63</f>
        <v>26580.13</v>
      </c>
      <c r="F64" s="33">
        <f>F39+F51+F63</f>
        <v>21412.2284</v>
      </c>
      <c r="G64" s="33">
        <f>G39+G51+G63</f>
        <v>22379.730000000003</v>
      </c>
      <c r="H64" s="33">
        <f>H39+H51+H63</f>
        <v>35079.71621575</v>
      </c>
      <c r="I64" s="33" t="e">
        <f aca="true" t="shared" si="7" ref="I64:O64">I39+I51+I63</f>
        <v>#VALUE!</v>
      </c>
      <c r="J64" s="33" t="e">
        <f t="shared" si="7"/>
        <v>#VALUE!</v>
      </c>
      <c r="K64" s="33" t="e">
        <f t="shared" si="7"/>
        <v>#VALUE!</v>
      </c>
      <c r="L64" s="33">
        <f t="shared" si="7"/>
        <v>0</v>
      </c>
      <c r="M64" s="33">
        <f t="shared" si="7"/>
        <v>0</v>
      </c>
      <c r="N64" s="33">
        <f t="shared" si="7"/>
        <v>17048.836328</v>
      </c>
      <c r="O64" s="33">
        <f t="shared" si="7"/>
        <v>0</v>
      </c>
      <c r="P64" s="33">
        <f>P39+P51+P63</f>
        <v>39849.68</v>
      </c>
    </row>
    <row r="65" spans="6:16" ht="15">
      <c r="F65" s="3">
        <f>F64/D64</f>
        <v>1.0700229074009295</v>
      </c>
      <c r="H65" s="3">
        <f>H64/F64</f>
        <v>1.6383029155316688</v>
      </c>
      <c r="I65" s="3" t="e">
        <f aca="true" t="shared" si="8" ref="I65:P65">I64/G64</f>
        <v>#VALUE!</v>
      </c>
      <c r="J65" s="3" t="e">
        <f t="shared" si="8"/>
        <v>#VALUE!</v>
      </c>
      <c r="K65" s="3" t="e">
        <f t="shared" si="8"/>
        <v>#VALUE!</v>
      </c>
      <c r="L65" s="3" t="e">
        <f t="shared" si="8"/>
        <v>#VALUE!</v>
      </c>
      <c r="M65" s="3" t="e">
        <f t="shared" si="8"/>
        <v>#VALUE!</v>
      </c>
      <c r="N65" s="3" t="e">
        <f t="shared" si="8"/>
        <v>#DIV/0!</v>
      </c>
      <c r="O65" s="3" t="e">
        <f t="shared" si="8"/>
        <v>#DIV/0!</v>
      </c>
      <c r="P65" s="3">
        <f t="shared" si="8"/>
        <v>2.3373841612024417</v>
      </c>
    </row>
    <row r="67" ht="15">
      <c r="I67" s="3">
        <f>G64-H64</f>
        <v>-12699.986215749996</v>
      </c>
    </row>
  </sheetData>
  <sheetProtection/>
  <mergeCells count="2">
    <mergeCell ref="B2:H2"/>
    <mergeCell ref="B3:H3"/>
  </mergeCells>
  <printOptions/>
  <pageMargins left="0.7" right="0.7" top="0.75" bottom="0.75" header="0.3" footer="0.3"/>
  <pageSetup fitToHeight="1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Alsb</cp:lastModifiedBy>
  <cp:lastPrinted>2015-04-27T11:44:53Z</cp:lastPrinted>
  <dcterms:created xsi:type="dcterms:W3CDTF">2013-12-12T19:31:09Z</dcterms:created>
  <dcterms:modified xsi:type="dcterms:W3CDTF">2015-04-27T13:04:19Z</dcterms:modified>
  <cp:category/>
  <cp:version/>
  <cp:contentType/>
  <cp:contentStatus/>
</cp:coreProperties>
</file>